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175" windowHeight="11190" activeTab="0"/>
  </bookViews>
  <sheets>
    <sheet name="Assumptions" sheetId="1" r:id="rId1"/>
    <sheet name="Estimator" sheetId="2" r:id="rId2"/>
  </sheets>
  <definedNames>
    <definedName name="concalls">'Estimator'!$D$11</definedName>
    <definedName name="fpkg">'Estimator'!$D$7</definedName>
    <definedName name="lines">'Estimator'!$D$6</definedName>
    <definedName name="_xlnm.Print_Area" localSheetId="1">'Estimator'!$A$1:$K$115</definedName>
    <definedName name="SoundPoint_IP_330">'Estimator'!$D$15</definedName>
    <definedName name="SoundPoint_IP_330_Power_Adapter">'Estimator'!$D$16</definedName>
    <definedName name="SoundPoint_IP_430">'Estimator'!$D$17</definedName>
    <definedName name="SoundPoint_IP_450">'Estimator'!$D$18</definedName>
    <definedName name="SoundPoint_IP_550">'Estimator'!$D$19</definedName>
    <definedName name="SoundPoint_IP_650">'Estimator'!$D$20</definedName>
    <definedName name="SoundPoint_IP_650x_expansion_module">'Estimator'!$D$21</definedName>
    <definedName name="voicemail">'Estimator'!$D$8</definedName>
    <definedName name="w_With_Power_Adapter">'Estimator'!$D$16</definedName>
  </definedNames>
  <calcPr fullCalcOnLoad="1"/>
</workbook>
</file>

<file path=xl/sharedStrings.xml><?xml version="1.0" encoding="utf-8"?>
<sst xmlns="http://schemas.openxmlformats.org/spreadsheetml/2006/main" count="169" uniqueCount="121">
  <si>
    <t>Standard Business Line</t>
  </si>
  <si>
    <t>Description</t>
  </si>
  <si>
    <t>Qty</t>
  </si>
  <si>
    <t>Unit Cost</t>
  </si>
  <si>
    <t>Standard Voice Mail Box</t>
  </si>
  <si>
    <t>Feature Pkg 2000</t>
  </si>
  <si>
    <t>Monthly</t>
  </si>
  <si>
    <t>Annual</t>
  </si>
  <si>
    <t>Data Network Surcharge (1)</t>
  </si>
  <si>
    <t>One-Time</t>
  </si>
  <si>
    <t>Breakout Patch Panel w / Cable</t>
  </si>
  <si>
    <t>  - w/With Power Adapter</t>
  </si>
  <si>
    <t>Common Equipment</t>
  </si>
  <si>
    <t>SoundPoint IP 330</t>
  </si>
  <si>
    <t>SoundPoint IP 430</t>
  </si>
  <si>
    <t>SoundPoint IP 550</t>
  </si>
  <si>
    <t xml:space="preserve">SoundPoint IP 650 </t>
  </si>
  <si>
    <t>Adtran ADTLC T200 Set</t>
  </si>
  <si>
    <t>Estimated Labor Circuit Install</t>
  </si>
  <si>
    <t>Materials</t>
  </si>
  <si>
    <t>Common Equipment Total</t>
  </si>
  <si>
    <t>Instruments Total</t>
  </si>
  <si>
    <t>Circuit Equipment &amp; Installation Total</t>
  </si>
  <si>
    <t>Software Updates/Maintenance</t>
  </si>
  <si>
    <t>VOIP Replacement System Hardware Costs (Redundant System)</t>
  </si>
  <si>
    <t>SwitchVox Annual Costs Total</t>
  </si>
  <si>
    <t>One Time Costs</t>
  </si>
  <si>
    <t>UPS Equipment for Switches</t>
  </si>
  <si>
    <t>POE Ethernet Switch Total</t>
  </si>
  <si>
    <t>HP Procurve 2610-24-PWR POE (24 port)</t>
  </si>
  <si>
    <t>2 Analog Phone Lines</t>
  </si>
  <si>
    <t>For backup 911 and Authorization codes</t>
  </si>
  <si>
    <t>Silver Subscription Renewal (11 each)</t>
  </si>
  <si>
    <t>Standard Business Line (analog backup)</t>
  </si>
  <si>
    <t>Data Network Surcharge (analog backup)</t>
  </si>
  <si>
    <t>Current Recurring Costs</t>
  </si>
  <si>
    <t>Replacement System Trunking Recurring Costs</t>
  </si>
  <si>
    <t>1 T1/E1 Line Card</t>
  </si>
  <si>
    <t>POE Ethernet Switches (if POE not already available)</t>
  </si>
  <si>
    <t>Lines</t>
  </si>
  <si>
    <t>50%</t>
  </si>
  <si>
    <t>25%</t>
  </si>
  <si>
    <t>Assuming half of above require external power</t>
  </si>
  <si>
    <t>(dual span is an additional $1326)</t>
  </si>
  <si>
    <t>VOIP DID Number (telephone number)</t>
  </si>
  <si>
    <t>first year</t>
  </si>
  <si>
    <t>subsequent years</t>
  </si>
  <si>
    <t>PRI Circuit DS0 Data Network Surcharge</t>
  </si>
  <si>
    <t>Number of concurrent calls over all lines:</t>
  </si>
  <si>
    <t>Number of lines with Feature Package 2000:</t>
  </si>
  <si>
    <t>Number of lines with Voice Mail:</t>
  </si>
  <si>
    <t>Current campus telephone system configuration</t>
  </si>
  <si>
    <t>Number of telephone lines:</t>
  </si>
  <si>
    <t>VoIP system configuration:</t>
  </si>
  <si>
    <t>Years to Recover Expenses</t>
  </si>
  <si>
    <t>Switchvox SMB AA305 Appliance</t>
  </si>
  <si>
    <t>3 Year Extended Warranty forAA305</t>
  </si>
  <si>
    <t>Switchvox AA305 Rail Kit</t>
  </si>
  <si>
    <t>2 extensions, 102x33 pixel LCD display</t>
  </si>
  <si>
    <t>needed if not connected to POE Etherenet switch port</t>
  </si>
  <si>
    <t>2 extensions, 132x46 pixel LCD display</t>
  </si>
  <si>
    <t>SoundPoint IP 450</t>
  </si>
  <si>
    <t>3 extensions, 256x116 pixel LCD display</t>
  </si>
  <si>
    <t>4 extensions, 320x160 pixel LCD display</t>
  </si>
  <si>
    <t>6 extensions, 320x160 pixel LCD display</t>
  </si>
  <si>
    <t>SoundPoint IP 650x expansion module</t>
  </si>
  <si>
    <t>units</t>
  </si>
  <si>
    <t>http://www.switchvox.com/catalog/index.php?cPath=2</t>
  </si>
  <si>
    <t>Assumed to be the same as current configuration</t>
  </si>
  <si>
    <t>  - With Power Adapter</t>
  </si>
  <si>
    <t>VOIP System Hardware &amp; Installation One-Time Costs Total</t>
  </si>
  <si>
    <t>VoIP system configuration</t>
  </si>
  <si>
    <t>One DID number for each telephone line</t>
  </si>
  <si>
    <t>SwitchVox Annual Maintenance Expenses (after first year)</t>
  </si>
  <si>
    <t>Annual Recurring Expense Savings (or loss) After First Year</t>
  </si>
  <si>
    <t>Annual Recurring Expense Savings (or loss)</t>
  </si>
  <si>
    <t>if negative, then no advange to using this system</t>
  </si>
  <si>
    <t>The Digium SMB AA305 supports up to 150 telephone lines and 45 concurrent calls.</t>
  </si>
  <si>
    <t>("cold spare" pricing per switchvox)</t>
  </si>
  <si>
    <t>Current campus telephone system configuration.  This is what your department is currently using.</t>
  </si>
  <si>
    <t>Type and Number of VoIP instruments.  For detailed descriptions:</t>
  </si>
  <si>
    <t>VOIP Replacement System Cost Estimator</t>
  </si>
  <si>
    <t>adds 14 extensions and/or speed dial numbers to IP 650; up to 3 per IP 650 phone</t>
  </si>
  <si>
    <t>Stand-by (cold server) does not require licensing or maintenance</t>
  </si>
  <si>
    <t>Telephone Instruments</t>
  </si>
  <si>
    <t>Circuit Equipment &amp; Installation (connects VoIP system to campus telephone system)</t>
  </si>
  <si>
    <t>(telephone lines/24)</t>
  </si>
  <si>
    <t>One Surcharge per Business Line</t>
  </si>
  <si>
    <t>One per telephone line</t>
  </si>
  <si>
    <t>Return on Investment Calculation</t>
  </si>
  <si>
    <t>VOIP Replacement System Cost Estimator Assumptions</t>
  </si>
  <si>
    <t>The VoIP system provides it own voice mail system.</t>
  </si>
  <si>
    <t>The estimator does not include any personnel expenses for the installation, operation or problem solving of the VoIP system.</t>
  </si>
  <si>
    <t xml:space="preserve">The content of this spreadsheet is for informational purposes only, and does not imply an endorsement of </t>
  </si>
  <si>
    <t>any company, its products, or its services by the University of California.</t>
  </si>
  <si>
    <t>The configuration uses redundant circuits and "cold" VOIP server/gateway, does not support "clustered" or hot standby servers.</t>
  </si>
  <si>
    <t>The VoIP system includes the continued use of two (2) campus telephone system analog lines for calls to the Campus Police 9-911 dispatch center in the event of building power failures.</t>
  </si>
  <si>
    <t>The estimator assumes that new Power Over Ethernet (POE) switches will be installed to provide power to the VoIP system telephone instruments.</t>
  </si>
  <si>
    <t>The estimator does not include any expenses for preparation of the space used to house the VoIP Appliance.</t>
  </si>
  <si>
    <t>This VoIP system cost estimator makes many assumptions, most of which are listed below.</t>
  </si>
  <si>
    <t>Be sure to read the assumptions used for the calculations in this estimator. Click on the tab at the bottom of the screen with the name "Assumptions".</t>
  </si>
  <si>
    <t>Only those cells with a yellow background can be changed.</t>
  </si>
  <si>
    <t>Equiment prices shown in the Estimator worksheet do not include taxes or shipping.</t>
  </si>
  <si>
    <t xml:space="preserve">Normally set to 1/4 of the number of telephone lines, </t>
  </si>
  <si>
    <t>but must be at least 12 (see Assumptions worksheet for more details).</t>
  </si>
  <si>
    <t>The number of instruments does not have to match the number of telephone lines.</t>
  </si>
  <si>
    <t xml:space="preserve">Questions and/or comments about this estimator should be sent to: </t>
  </si>
  <si>
    <t>bmiller@commserv.ucsb.edu</t>
  </si>
  <si>
    <t>The Digium Switchvox VoIP Appliance SMB AA305 is used for the VoIP system.  There are other vendors that offer VoIP appliances and open source software.  This vendor was used in this sample merely because they offer a "turn key" solution.</t>
  </si>
  <si>
    <r>
      <t xml:space="preserve">After reading these assumptions, click on the workbook name </t>
    </r>
    <r>
      <rPr>
        <b/>
        <sz val="10"/>
        <color indexed="8"/>
        <rFont val="Arial"/>
        <family val="2"/>
      </rPr>
      <t>"Estimator"</t>
    </r>
    <r>
      <rPr>
        <sz val="10"/>
        <color indexed="8"/>
        <rFont val="Arial"/>
        <family val="2"/>
      </rPr>
      <t xml:space="preserve"> at the bottom of the screen.</t>
    </r>
  </si>
  <si>
    <t>Pricing for the Digium Switchvox was from the web site http://switchvox.com as of August 3, 2010 using list prices.</t>
  </si>
  <si>
    <t>(dual span is $!,425)</t>
  </si>
  <si>
    <t>Silver Subscription ($55/line) for first year</t>
  </si>
  <si>
    <t>SoundPoint IP 331</t>
  </si>
  <si>
    <t>Recurring Costs - fiscal year 2010/11 recharge rates</t>
  </si>
  <si>
    <t>Discontinued July 1, 2010</t>
  </si>
  <si>
    <t>PRI Trunk</t>
  </si>
  <si>
    <t>Trunk supports 24 concurrent calls</t>
  </si>
  <si>
    <t>Recurring Expense Savings (or loss) excluding annual maintenance</t>
  </si>
  <si>
    <t>Updated August 3, 2010 with current recharge rate</t>
  </si>
  <si>
    <t xml:space="preserve">The VoIP system is connected to the campus telephone system so that the VoIP system lines have 893- prefix telephone numbers.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</si>
</sst>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
  </numFmts>
  <fonts count="32">
    <font>
      <sz val="10"/>
      <color indexed="8"/>
      <name val="Arial"/>
      <family val="2"/>
    </font>
    <font>
      <sz val="10"/>
      <name val="Arial"/>
      <family val="2"/>
    </font>
    <font>
      <b/>
      <sz val="10"/>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53"/>
      <name val="Arial"/>
      <family val="2"/>
    </font>
    <font>
      <b/>
      <sz val="10"/>
      <color indexed="53"/>
      <name val="Arial"/>
      <family val="2"/>
    </font>
    <font>
      <b/>
      <sz val="11"/>
      <color indexed="8"/>
      <name val="Arial"/>
      <family val="2"/>
    </font>
    <font>
      <b/>
      <sz val="12"/>
      <color indexed="8"/>
      <name val="Arial"/>
      <family val="2"/>
    </font>
    <font>
      <sz val="11"/>
      <color indexed="8"/>
      <name val="Arial"/>
      <family val="2"/>
    </font>
    <font>
      <sz val="8"/>
      <color indexed="8"/>
      <name val="Arial"/>
      <family val="2"/>
    </font>
    <font>
      <b/>
      <i/>
      <sz val="9"/>
      <color indexed="8"/>
      <name val="Arial"/>
      <family val="2"/>
    </font>
    <font>
      <b/>
      <i/>
      <sz val="10"/>
      <color indexed="63"/>
      <name val="Arial"/>
      <family val="2"/>
    </font>
    <font>
      <b/>
      <i/>
      <sz val="10"/>
      <color indexed="8"/>
      <name val="Arial"/>
      <family val="2"/>
    </font>
    <font>
      <b/>
      <sz val="9"/>
      <color indexed="8"/>
      <name val="Arial"/>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 fillId="0" borderId="9" applyNumberFormat="0" applyFill="0" applyAlignment="0" applyProtection="0"/>
    <xf numFmtId="0" fontId="20" fillId="0" borderId="0" applyNumberFormat="0" applyFill="0" applyBorder="0" applyAlignment="0" applyProtection="0"/>
  </cellStyleXfs>
  <cellXfs count="68">
    <xf numFmtId="0" fontId="0" fillId="0" borderId="0" xfId="0" applyAlignment="1">
      <alignment/>
    </xf>
    <xf numFmtId="44" fontId="0" fillId="0" borderId="0" xfId="44" applyFont="1" applyAlignment="1">
      <alignment/>
    </xf>
    <xf numFmtId="0" fontId="3" fillId="0" borderId="0" xfId="0" applyFont="1" applyAlignment="1">
      <alignment/>
    </xf>
    <xf numFmtId="44" fontId="3" fillId="0" borderId="0" xfId="44" applyFont="1" applyAlignment="1">
      <alignment/>
    </xf>
    <xf numFmtId="0" fontId="0" fillId="0" borderId="10" xfId="0" applyBorder="1" applyAlignment="1">
      <alignment/>
    </xf>
    <xf numFmtId="44" fontId="0" fillId="0" borderId="10" xfId="44" applyFont="1" applyBorder="1" applyAlignment="1">
      <alignment/>
    </xf>
    <xf numFmtId="0" fontId="0" fillId="0" borderId="0" xfId="0" applyAlignment="1">
      <alignment wrapText="1"/>
    </xf>
    <xf numFmtId="0" fontId="21" fillId="0" borderId="0" xfId="0" applyFont="1" applyAlignment="1">
      <alignment wrapText="1"/>
    </xf>
    <xf numFmtId="0" fontId="1" fillId="0" borderId="0" xfId="0" applyFont="1" applyAlignment="1">
      <alignment/>
    </xf>
    <xf numFmtId="0" fontId="1" fillId="0" borderId="0" xfId="0" applyFont="1" applyAlignment="1">
      <alignment wrapText="1"/>
    </xf>
    <xf numFmtId="44" fontId="1" fillId="0" borderId="0" xfId="44" applyFont="1" applyAlignment="1">
      <alignment/>
    </xf>
    <xf numFmtId="0" fontId="22" fillId="0" borderId="0" xfId="0" applyFont="1" applyAlignment="1">
      <alignment wrapText="1"/>
    </xf>
    <xf numFmtId="0" fontId="2" fillId="0" borderId="0" xfId="0" applyFont="1" applyAlignment="1">
      <alignment/>
    </xf>
    <xf numFmtId="0" fontId="2" fillId="0" borderId="0" xfId="0" applyFont="1" applyAlignment="1">
      <alignment wrapText="1"/>
    </xf>
    <xf numFmtId="44" fontId="2" fillId="0" borderId="0" xfId="44" applyFont="1" applyAlignment="1">
      <alignment/>
    </xf>
    <xf numFmtId="0" fontId="1" fillId="0" borderId="10" xfId="0" applyFont="1" applyBorder="1" applyAlignment="1">
      <alignment wrapText="1"/>
    </xf>
    <xf numFmtId="44" fontId="1" fillId="0" borderId="10" xfId="44" applyFont="1" applyBorder="1" applyAlignment="1">
      <alignment/>
    </xf>
    <xf numFmtId="0" fontId="0" fillId="0" borderId="10" xfId="0" applyBorder="1" applyAlignment="1">
      <alignment wrapText="1"/>
    </xf>
    <xf numFmtId="44" fontId="0" fillId="0" borderId="0" xfId="44" applyFont="1" applyAlignment="1">
      <alignment wrapText="1"/>
    </xf>
    <xf numFmtId="44" fontId="21" fillId="0" borderId="0" xfId="44" applyFont="1" applyAlignment="1">
      <alignment wrapText="1"/>
    </xf>
    <xf numFmtId="44" fontId="1" fillId="0" borderId="10" xfId="44" applyFont="1" applyBorder="1" applyAlignment="1">
      <alignment wrapText="1"/>
    </xf>
    <xf numFmtId="44" fontId="2" fillId="0" borderId="0" xfId="44" applyFont="1" applyAlignment="1">
      <alignment wrapText="1"/>
    </xf>
    <xf numFmtId="44" fontId="0" fillId="0" borderId="10" xfId="44" applyFont="1" applyBorder="1" applyAlignment="1">
      <alignment wrapText="1"/>
    </xf>
    <xf numFmtId="0" fontId="3" fillId="0" borderId="0" xfId="0" applyFont="1" applyAlignment="1">
      <alignment wrapText="1"/>
    </xf>
    <xf numFmtId="0" fontId="23" fillId="0" borderId="0" xfId="0" applyFont="1" applyAlignment="1">
      <alignment/>
    </xf>
    <xf numFmtId="0" fontId="24" fillId="0" borderId="0" xfId="0" applyFont="1" applyAlignment="1">
      <alignment/>
    </xf>
    <xf numFmtId="0" fontId="25" fillId="0" borderId="0" xfId="0" applyFont="1" applyAlignment="1">
      <alignment/>
    </xf>
    <xf numFmtId="44" fontId="25" fillId="0" borderId="0" xfId="44" applyFont="1" applyAlignment="1">
      <alignment/>
    </xf>
    <xf numFmtId="44" fontId="23" fillId="0" borderId="0" xfId="44" applyFont="1" applyAlignment="1">
      <alignment/>
    </xf>
    <xf numFmtId="0" fontId="0" fillId="0" borderId="0" xfId="0" applyFont="1" applyAlignment="1">
      <alignment/>
    </xf>
    <xf numFmtId="44" fontId="1" fillId="0" borderId="0" xfId="44" applyFont="1" applyAlignment="1">
      <alignment wrapText="1"/>
    </xf>
    <xf numFmtId="44" fontId="0" fillId="0" borderId="0" xfId="0" applyNumberFormat="1" applyFont="1" applyAlignment="1">
      <alignment/>
    </xf>
    <xf numFmtId="0" fontId="0" fillId="0" borderId="0" xfId="0" applyAlignment="1" quotePrefix="1">
      <alignment horizontal="left" wrapText="1"/>
    </xf>
    <xf numFmtId="0" fontId="0" fillId="0" borderId="0" xfId="0" applyBorder="1" applyAlignment="1">
      <alignment/>
    </xf>
    <xf numFmtId="44" fontId="0" fillId="0" borderId="0" xfId="44" applyFont="1" applyBorder="1" applyAlignment="1">
      <alignment/>
    </xf>
    <xf numFmtId="0" fontId="1" fillId="0" borderId="0" xfId="0" applyFont="1" applyBorder="1" applyAlignment="1">
      <alignment wrapText="1"/>
    </xf>
    <xf numFmtId="44" fontId="1" fillId="0" borderId="0" xfId="44" applyFont="1" applyBorder="1" applyAlignment="1">
      <alignment wrapText="1"/>
    </xf>
    <xf numFmtId="44" fontId="1" fillId="0" borderId="0" xfId="44" applyFont="1" applyBorder="1" applyAlignment="1">
      <alignment/>
    </xf>
    <xf numFmtId="0" fontId="3" fillId="0" borderId="0" xfId="0" applyFont="1" applyAlignment="1">
      <alignment/>
    </xf>
    <xf numFmtId="9" fontId="0" fillId="0" borderId="0" xfId="44" applyNumberFormat="1" applyFont="1" applyAlignment="1" quotePrefix="1">
      <alignment/>
    </xf>
    <xf numFmtId="44" fontId="0" fillId="0" borderId="0" xfId="44" applyFont="1" applyAlignment="1" quotePrefix="1">
      <alignment/>
    </xf>
    <xf numFmtId="1" fontId="3" fillId="0" borderId="0" xfId="44" applyNumberFormat="1" applyFont="1" applyAlignment="1">
      <alignment/>
    </xf>
    <xf numFmtId="0" fontId="0" fillId="0" borderId="10" xfId="0" applyFont="1" applyBorder="1" applyAlignment="1">
      <alignment/>
    </xf>
    <xf numFmtId="44" fontId="0" fillId="0" borderId="10" xfId="0" applyNumberFormat="1" applyFont="1" applyBorder="1" applyAlignment="1">
      <alignment/>
    </xf>
    <xf numFmtId="44" fontId="3" fillId="0" borderId="11" xfId="44" applyFont="1" applyBorder="1" applyAlignment="1">
      <alignment/>
    </xf>
    <xf numFmtId="43" fontId="3" fillId="0" borderId="0" xfId="42" applyFont="1" applyAlignment="1">
      <alignment/>
    </xf>
    <xf numFmtId="44" fontId="26" fillId="0" borderId="0" xfId="44" applyFont="1" applyAlignment="1">
      <alignment/>
    </xf>
    <xf numFmtId="44" fontId="14" fillId="0" borderId="0" xfId="53" applyNumberFormat="1" applyAlignment="1" applyProtection="1">
      <alignment/>
      <protection/>
    </xf>
    <xf numFmtId="44" fontId="3" fillId="0" borderId="0" xfId="44" applyFont="1" applyAlignment="1">
      <alignment horizontal="right"/>
    </xf>
    <xf numFmtId="0" fontId="3" fillId="0" borderId="0" xfId="0" applyFont="1" applyAlignment="1">
      <alignment horizontal="right"/>
    </xf>
    <xf numFmtId="44" fontId="1" fillId="0" borderId="0" xfId="44" applyFont="1" applyAlignment="1">
      <alignment horizontal="left"/>
    </xf>
    <xf numFmtId="0" fontId="0" fillId="0" borderId="0" xfId="0" applyFont="1" applyAlignment="1">
      <alignment horizontal="center"/>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0" fillId="0" borderId="12" xfId="0" applyBorder="1" applyAlignment="1">
      <alignment wrapText="1"/>
    </xf>
    <xf numFmtId="0" fontId="0" fillId="0" borderId="12" xfId="0" applyFont="1" applyBorder="1" applyAlignment="1">
      <alignment wrapText="1"/>
    </xf>
    <xf numFmtId="0" fontId="0" fillId="0" borderId="12" xfId="0" applyFont="1" applyBorder="1" applyAlignment="1">
      <alignment horizontal="center" vertical="top"/>
    </xf>
    <xf numFmtId="1" fontId="3" fillId="24" borderId="0" xfId="44" applyNumberFormat="1" applyFont="1" applyFill="1" applyAlignment="1" applyProtection="1">
      <alignment/>
      <protection locked="0"/>
    </xf>
    <xf numFmtId="0" fontId="30" fillId="0" borderId="0" xfId="0" applyFont="1" applyAlignment="1">
      <alignment/>
    </xf>
    <xf numFmtId="0" fontId="14" fillId="0" borderId="0" xfId="53" applyAlignment="1" applyProtection="1">
      <alignment/>
      <protection/>
    </xf>
    <xf numFmtId="0" fontId="0" fillId="0" borderId="12" xfId="0" applyBorder="1" applyAlignment="1" quotePrefix="1">
      <alignment horizontal="left" wrapText="1"/>
    </xf>
    <xf numFmtId="44" fontId="1" fillId="0" borderId="0" xfId="44" applyFont="1" applyAlignment="1" quotePrefix="1">
      <alignment horizontal="left"/>
    </xf>
    <xf numFmtId="0" fontId="1" fillId="0" borderId="0" xfId="0" applyFont="1" applyAlignment="1" quotePrefix="1">
      <alignment horizontal="left" wrapText="1"/>
    </xf>
    <xf numFmtId="0" fontId="23" fillId="0" borderId="0" xfId="0" applyFont="1" applyAlignment="1" quotePrefix="1">
      <alignment horizontal="left"/>
    </xf>
    <xf numFmtId="0" fontId="0" fillId="0" borderId="0" xfId="0" applyAlignment="1" quotePrefix="1">
      <alignment horizontal="left"/>
    </xf>
    <xf numFmtId="0" fontId="3" fillId="0" borderId="0" xfId="0" applyFont="1" applyAlignment="1" quotePrefix="1">
      <alignment horizontal="left"/>
    </xf>
    <xf numFmtId="0" fontId="29" fillId="0" borderId="0" xfId="0" applyFont="1" applyAlignment="1" quotePrefix="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miller@commserv.ucsb.ed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witchvox.com/catalog/index.php?cPath=2"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6"/>
  <sheetViews>
    <sheetView tabSelected="1" zoomScalePageLayoutView="0" workbookViewId="0" topLeftCell="A1">
      <selection activeCell="E13" sqref="E13"/>
    </sheetView>
  </sheetViews>
  <sheetFormatPr defaultColWidth="9.140625" defaultRowHeight="12.75"/>
  <cols>
    <col min="2" max="2" width="101.7109375" style="0" customWidth="1"/>
  </cols>
  <sheetData>
    <row r="1" spans="1:7" s="2" customFormat="1" ht="15.75">
      <c r="A1" s="25" t="s">
        <v>90</v>
      </c>
      <c r="D1" s="3"/>
      <c r="F1" s="3"/>
      <c r="G1" s="3"/>
    </row>
    <row r="3" ht="12.75">
      <c r="A3" t="s">
        <v>99</v>
      </c>
    </row>
    <row r="4" ht="12.75">
      <c r="A4" t="s">
        <v>109</v>
      </c>
    </row>
    <row r="5" ht="12.75">
      <c r="A5" s="67" t="s">
        <v>119</v>
      </c>
    </row>
    <row r="7" ht="12.75">
      <c r="A7" s="53" t="s">
        <v>93</v>
      </c>
    </row>
    <row r="8" ht="12.75">
      <c r="A8" s="54" t="s">
        <v>94</v>
      </c>
    </row>
    <row r="9" ht="12.75">
      <c r="A9" s="54"/>
    </row>
    <row r="10" ht="12.75">
      <c r="A10" s="29" t="s">
        <v>106</v>
      </c>
    </row>
    <row r="11" spans="1:2" ht="12.75">
      <c r="A11" s="54"/>
      <c r="B11" s="60" t="s">
        <v>107</v>
      </c>
    </row>
    <row r="13" spans="1:7" s="2" customFormat="1" ht="38.25">
      <c r="A13" s="57">
        <v>1</v>
      </c>
      <c r="B13" s="55" t="s">
        <v>108</v>
      </c>
      <c r="D13" s="3"/>
      <c r="F13" s="3"/>
      <c r="G13" s="3"/>
    </row>
    <row r="14" spans="1:7" s="2" customFormat="1" ht="12.75">
      <c r="A14" s="57">
        <v>2</v>
      </c>
      <c r="B14" s="61" t="s">
        <v>110</v>
      </c>
      <c r="D14" s="3"/>
      <c r="F14" s="3"/>
      <c r="G14" s="3"/>
    </row>
    <row r="15" spans="1:7" s="2" customFormat="1" ht="12.75">
      <c r="A15" s="57">
        <v>3</v>
      </c>
      <c r="B15" s="56" t="s">
        <v>77</v>
      </c>
      <c r="D15" s="3"/>
      <c r="F15" s="3"/>
      <c r="G15" s="3"/>
    </row>
    <row r="16" spans="1:7" s="2" customFormat="1" ht="25.5">
      <c r="A16" s="57">
        <v>4</v>
      </c>
      <c r="B16" s="55" t="s">
        <v>95</v>
      </c>
      <c r="D16" s="3"/>
      <c r="F16" s="3"/>
      <c r="G16" s="3"/>
    </row>
    <row r="17" spans="1:2" ht="25.5">
      <c r="A17" s="57">
        <v>5</v>
      </c>
      <c r="B17" s="61" t="s">
        <v>120</v>
      </c>
    </row>
    <row r="18" spans="1:2" ht="12.75">
      <c r="A18" s="57">
        <v>6</v>
      </c>
      <c r="B18" s="55" t="s">
        <v>91</v>
      </c>
    </row>
    <row r="19" spans="1:2" ht="25.5">
      <c r="A19" s="57">
        <v>7</v>
      </c>
      <c r="B19" s="55" t="s">
        <v>96</v>
      </c>
    </row>
    <row r="20" spans="1:2" ht="25.5">
      <c r="A20" s="57">
        <v>8</v>
      </c>
      <c r="B20" s="55" t="s">
        <v>97</v>
      </c>
    </row>
    <row r="21" spans="1:2" ht="25.5">
      <c r="A21" s="57">
        <v>9</v>
      </c>
      <c r="B21" s="55" t="s">
        <v>92</v>
      </c>
    </row>
    <row r="22" spans="1:2" ht="12.75">
      <c r="A22" s="57">
        <v>10</v>
      </c>
      <c r="B22" s="55" t="s">
        <v>98</v>
      </c>
    </row>
    <row r="23" spans="1:2" ht="12.75">
      <c r="A23" s="57">
        <v>11</v>
      </c>
      <c r="B23" s="55" t="s">
        <v>102</v>
      </c>
    </row>
    <row r="24" spans="1:2" ht="12.75">
      <c r="A24" s="51"/>
      <c r="B24" s="6"/>
    </row>
    <row r="25" spans="1:2" ht="12.75">
      <c r="A25" s="51"/>
      <c r="B25" s="6"/>
    </row>
    <row r="26" ht="12.75">
      <c r="B26" s="6"/>
    </row>
  </sheetData>
  <sheetProtection/>
  <hyperlinks>
    <hyperlink ref="B11" r:id="rId1" display="bmiller@commserv.ucsb.edu"/>
  </hyperlinks>
  <printOptions/>
  <pageMargins left="0.7" right="0.7" top="0.75" bottom="0.75" header="0.3" footer="0.3"/>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H106"/>
  <sheetViews>
    <sheetView workbookViewId="0" topLeftCell="A1">
      <selection activeCell="D8" sqref="D8"/>
    </sheetView>
  </sheetViews>
  <sheetFormatPr defaultColWidth="9.140625" defaultRowHeight="12.75"/>
  <cols>
    <col min="1" max="1" width="3.140625" style="0" customWidth="1"/>
    <col min="2" max="2" width="2.8515625" style="0" customWidth="1"/>
    <col min="3" max="3" width="37.8515625" style="0" customWidth="1"/>
    <col min="4" max="4" width="11.57421875" style="1" customWidth="1"/>
    <col min="5" max="5" width="6.7109375" style="0" customWidth="1"/>
    <col min="6" max="7" width="12.7109375" style="1" bestFit="1" customWidth="1"/>
    <col min="11" max="11" width="10.421875" style="0" customWidth="1"/>
  </cols>
  <sheetData>
    <row r="1" spans="1:7" s="2" customFormat="1" ht="15.75">
      <c r="A1" s="25" t="s">
        <v>81</v>
      </c>
      <c r="D1" s="3"/>
      <c r="F1" s="3"/>
      <c r="G1" s="3"/>
    </row>
    <row r="2" spans="1:7" s="2" customFormat="1" ht="15.75">
      <c r="A2" s="25"/>
      <c r="B2" s="59" t="s">
        <v>100</v>
      </c>
      <c r="D2" s="3"/>
      <c r="F2" s="3"/>
      <c r="G2" s="3"/>
    </row>
    <row r="3" ht="12.75">
      <c r="B3" s="59" t="s">
        <v>101</v>
      </c>
    </row>
    <row r="5" spans="1:7" s="2" customFormat="1" ht="12.75" customHeight="1">
      <c r="A5" s="2" t="s">
        <v>79</v>
      </c>
      <c r="C5"/>
      <c r="D5" s="3"/>
      <c r="F5" s="3"/>
      <c r="G5" s="3"/>
    </row>
    <row r="6" spans="1:7" s="2" customFormat="1" ht="12.75" customHeight="1">
      <c r="A6" s="25"/>
      <c r="C6" t="s">
        <v>52</v>
      </c>
      <c r="D6" s="58">
        <v>30</v>
      </c>
      <c r="E6" s="29" t="s">
        <v>39</v>
      </c>
      <c r="F6" s="3"/>
      <c r="G6" s="3"/>
    </row>
    <row r="7" spans="1:7" s="2" customFormat="1" ht="12.75" customHeight="1">
      <c r="A7" s="25"/>
      <c r="C7" t="s">
        <v>49</v>
      </c>
      <c r="D7" s="58">
        <v>15</v>
      </c>
      <c r="E7" s="29" t="s">
        <v>39</v>
      </c>
      <c r="F7" s="3"/>
      <c r="G7" s="3"/>
    </row>
    <row r="8" spans="1:7" s="2" customFormat="1" ht="12.75" customHeight="1">
      <c r="A8" s="25"/>
      <c r="C8" t="s">
        <v>50</v>
      </c>
      <c r="D8" s="58">
        <v>0</v>
      </c>
      <c r="E8" s="29" t="s">
        <v>39</v>
      </c>
      <c r="F8" s="3"/>
      <c r="G8" s="3"/>
    </row>
    <row r="9" spans="1:7" s="2" customFormat="1" ht="12.75" customHeight="1">
      <c r="A9" s="2" t="s">
        <v>53</v>
      </c>
      <c r="C9"/>
      <c r="D9" s="41"/>
      <c r="E9" s="29"/>
      <c r="F9" s="3"/>
      <c r="G9" s="3"/>
    </row>
    <row r="10" spans="3:7" s="2" customFormat="1" ht="12.75" customHeight="1">
      <c r="C10" t="s">
        <v>52</v>
      </c>
      <c r="D10" s="58">
        <v>30</v>
      </c>
      <c r="E10" s="29" t="s">
        <v>39</v>
      </c>
      <c r="F10" s="1" t="s">
        <v>68</v>
      </c>
      <c r="G10" s="3"/>
    </row>
    <row r="11" spans="1:7" s="2" customFormat="1" ht="12.75" customHeight="1">
      <c r="A11" s="25"/>
      <c r="C11" t="s">
        <v>48</v>
      </c>
      <c r="D11" s="58">
        <v>5</v>
      </c>
      <c r="E11" s="29" t="s">
        <v>39</v>
      </c>
      <c r="F11" s="1" t="s">
        <v>103</v>
      </c>
      <c r="G11" s="3"/>
    </row>
    <row r="12" spans="1:7" s="2" customFormat="1" ht="12.75" customHeight="1">
      <c r="A12" s="25"/>
      <c r="C12"/>
      <c r="D12" s="58"/>
      <c r="E12" s="29"/>
      <c r="F12" s="1" t="s">
        <v>104</v>
      </c>
      <c r="G12" s="3"/>
    </row>
    <row r="13" spans="1:7" s="2" customFormat="1" ht="12.75" customHeight="1">
      <c r="A13" s="25"/>
      <c r="C13" s="52" t="s">
        <v>80</v>
      </c>
      <c r="D13" s="41"/>
      <c r="E13" s="29"/>
      <c r="F13" s="47" t="s">
        <v>67</v>
      </c>
      <c r="G13" s="3"/>
    </row>
    <row r="14" spans="1:7" s="2" customFormat="1" ht="12.75" customHeight="1">
      <c r="A14" s="25"/>
      <c r="C14" s="52" t="s">
        <v>105</v>
      </c>
      <c r="D14" s="41"/>
      <c r="E14" s="29"/>
      <c r="F14" s="47"/>
      <c r="G14" s="3"/>
    </row>
    <row r="15" spans="1:7" s="2" customFormat="1" ht="12.75" customHeight="1">
      <c r="A15" s="25"/>
      <c r="C15" s="6" t="s">
        <v>13</v>
      </c>
      <c r="D15" s="58">
        <v>30</v>
      </c>
      <c r="E15" s="29" t="s">
        <v>66</v>
      </c>
      <c r="F15" s="46" t="s">
        <v>58</v>
      </c>
      <c r="G15" s="3"/>
    </row>
    <row r="16" spans="1:7" s="2" customFormat="1" ht="12.75" customHeight="1">
      <c r="A16" s="25"/>
      <c r="C16" s="6" t="s">
        <v>11</v>
      </c>
      <c r="D16" s="58">
        <v>0</v>
      </c>
      <c r="E16" s="29" t="s">
        <v>66</v>
      </c>
      <c r="F16" s="46" t="s">
        <v>59</v>
      </c>
      <c r="G16" s="3"/>
    </row>
    <row r="17" spans="1:7" s="2" customFormat="1" ht="12.75" customHeight="1">
      <c r="A17" s="25"/>
      <c r="C17" s="6" t="s">
        <v>14</v>
      </c>
      <c r="D17" s="58">
        <v>0</v>
      </c>
      <c r="E17" s="29" t="s">
        <v>66</v>
      </c>
      <c r="F17" s="46" t="s">
        <v>60</v>
      </c>
      <c r="G17" s="3"/>
    </row>
    <row r="18" spans="1:7" s="2" customFormat="1" ht="12.75" customHeight="1">
      <c r="A18" s="25"/>
      <c r="C18" s="6" t="s">
        <v>61</v>
      </c>
      <c r="D18" s="58">
        <v>0</v>
      </c>
      <c r="E18" s="29" t="s">
        <v>66</v>
      </c>
      <c r="F18" s="46" t="s">
        <v>62</v>
      </c>
      <c r="G18" s="3"/>
    </row>
    <row r="19" spans="1:7" s="2" customFormat="1" ht="12.75" customHeight="1">
      <c r="A19" s="25"/>
      <c r="C19" s="6" t="s">
        <v>15</v>
      </c>
      <c r="D19" s="58">
        <v>0</v>
      </c>
      <c r="E19" s="29" t="s">
        <v>66</v>
      </c>
      <c r="F19" s="46" t="s">
        <v>63</v>
      </c>
      <c r="G19" s="3"/>
    </row>
    <row r="20" spans="1:7" s="2" customFormat="1" ht="12.75" customHeight="1">
      <c r="A20" s="25"/>
      <c r="C20" s="6" t="s">
        <v>16</v>
      </c>
      <c r="D20" s="58">
        <v>0</v>
      </c>
      <c r="E20" s="29" t="s">
        <v>66</v>
      </c>
      <c r="F20" s="46" t="s">
        <v>64</v>
      </c>
      <c r="G20" s="3"/>
    </row>
    <row r="21" spans="1:7" s="2" customFormat="1" ht="12.75" customHeight="1">
      <c r="A21" s="25"/>
      <c r="C21" s="6" t="s">
        <v>65</v>
      </c>
      <c r="D21" s="58">
        <v>0</v>
      </c>
      <c r="E21" s="29" t="s">
        <v>66</v>
      </c>
      <c r="F21" s="46" t="s">
        <v>82</v>
      </c>
      <c r="G21" s="3"/>
    </row>
    <row r="22" spans="1:7" s="2" customFormat="1" ht="15.75">
      <c r="A22" s="25"/>
      <c r="C22" s="6"/>
      <c r="D22" s="41"/>
      <c r="F22" s="46"/>
      <c r="G22" s="3"/>
    </row>
    <row r="23" spans="4:7" s="2" customFormat="1" ht="12.75">
      <c r="D23" s="3"/>
      <c r="F23" s="3"/>
      <c r="G23" s="3"/>
    </row>
    <row r="24" spans="1:7" s="2" customFormat="1" ht="15">
      <c r="A24" s="24" t="s">
        <v>26</v>
      </c>
      <c r="D24" s="3"/>
      <c r="F24" s="3"/>
      <c r="G24" s="3"/>
    </row>
    <row r="26" spans="1:7" s="2" customFormat="1" ht="12.75">
      <c r="A26" s="2" t="s">
        <v>24</v>
      </c>
      <c r="D26" s="3"/>
      <c r="F26" s="3"/>
      <c r="G26" s="3"/>
    </row>
    <row r="27" s="2" customFormat="1" ht="12.75">
      <c r="G27" s="3"/>
    </row>
    <row r="28" spans="2:7" s="2" customFormat="1" ht="12.75">
      <c r="B28" s="2" t="s">
        <v>12</v>
      </c>
      <c r="D28" s="48" t="s">
        <v>3</v>
      </c>
      <c r="E28" s="49" t="s">
        <v>2</v>
      </c>
      <c r="F28" s="48" t="s">
        <v>9</v>
      </c>
      <c r="G28" s="3"/>
    </row>
    <row r="29" spans="3:6" ht="12.75">
      <c r="C29" s="6" t="s">
        <v>55</v>
      </c>
      <c r="D29" s="18">
        <v>4195</v>
      </c>
      <c r="E29">
        <v>1</v>
      </c>
      <c r="F29" s="1">
        <f aca="true" t="shared" si="0" ref="F29:F35">D29*E29</f>
        <v>4195</v>
      </c>
    </row>
    <row r="30" spans="3:6" ht="12.75">
      <c r="C30" s="6" t="s">
        <v>56</v>
      </c>
      <c r="D30" s="18">
        <v>330</v>
      </c>
      <c r="E30">
        <v>1</v>
      </c>
      <c r="F30" s="1">
        <f t="shared" si="0"/>
        <v>330</v>
      </c>
    </row>
    <row r="31" spans="3:6" ht="12.75">
      <c r="C31" s="6" t="s">
        <v>57</v>
      </c>
      <c r="D31" s="18">
        <v>150</v>
      </c>
      <c r="E31">
        <v>1</v>
      </c>
      <c r="F31" s="1">
        <f t="shared" si="0"/>
        <v>150</v>
      </c>
    </row>
    <row r="32" spans="3:7" s="8" customFormat="1" ht="12.75">
      <c r="C32" s="63" t="s">
        <v>112</v>
      </c>
      <c r="D32" s="30">
        <v>55</v>
      </c>
      <c r="E32" s="29">
        <f>lines</f>
        <v>30</v>
      </c>
      <c r="F32" s="10">
        <f t="shared" si="0"/>
        <v>1650</v>
      </c>
      <c r="G32" s="10"/>
    </row>
    <row r="33" spans="3:7" s="8" customFormat="1" ht="12.75">
      <c r="C33" s="9" t="s">
        <v>30</v>
      </c>
      <c r="D33" s="30">
        <v>545</v>
      </c>
      <c r="E33">
        <v>1</v>
      </c>
      <c r="F33" s="10">
        <f t="shared" si="0"/>
        <v>545</v>
      </c>
      <c r="G33" s="10" t="s">
        <v>31</v>
      </c>
    </row>
    <row r="34" spans="3:6" ht="12.75">
      <c r="C34" s="6" t="s">
        <v>10</v>
      </c>
      <c r="D34" s="18">
        <v>249</v>
      </c>
      <c r="E34">
        <v>1</v>
      </c>
      <c r="F34" s="1">
        <f t="shared" si="0"/>
        <v>249</v>
      </c>
    </row>
    <row r="35" spans="3:7" s="8" customFormat="1" ht="12.75">
      <c r="C35" s="35" t="s">
        <v>37</v>
      </c>
      <c r="D35" s="36">
        <v>799</v>
      </c>
      <c r="E35" s="33">
        <f>CEILING(concalls/23,1)</f>
        <v>1</v>
      </c>
      <c r="F35" s="37">
        <f t="shared" si="0"/>
        <v>799</v>
      </c>
      <c r="G35" s="62" t="s">
        <v>111</v>
      </c>
    </row>
    <row r="36" spans="3:7" s="8" customFormat="1" ht="12.75">
      <c r="C36" s="35"/>
      <c r="D36" s="36"/>
      <c r="E36" s="33"/>
      <c r="F36" s="37"/>
      <c r="G36" s="10"/>
    </row>
    <row r="37" spans="2:4" ht="17.25" customHeight="1">
      <c r="B37" s="38" t="s">
        <v>83</v>
      </c>
      <c r="D37" s="18"/>
    </row>
    <row r="38" spans="2:6" ht="12.75" customHeight="1">
      <c r="B38" s="38"/>
      <c r="D38" s="48" t="s">
        <v>3</v>
      </c>
      <c r="E38" s="49" t="s">
        <v>2</v>
      </c>
      <c r="F38" s="48" t="s">
        <v>9</v>
      </c>
    </row>
    <row r="39" spans="3:7" ht="12.75">
      <c r="C39" s="6" t="s">
        <v>55</v>
      </c>
      <c r="D39" s="18">
        <v>2000</v>
      </c>
      <c r="E39">
        <v>1</v>
      </c>
      <c r="F39" s="1">
        <f>D39*E39</f>
        <v>2000</v>
      </c>
      <c r="G39" s="1" t="s">
        <v>78</v>
      </c>
    </row>
    <row r="40" spans="3:6" ht="12.75">
      <c r="C40" s="6" t="s">
        <v>56</v>
      </c>
      <c r="D40" s="18">
        <v>330</v>
      </c>
      <c r="E40">
        <v>1</v>
      </c>
      <c r="F40" s="1">
        <f>D40*E40</f>
        <v>330</v>
      </c>
    </row>
    <row r="41" spans="3:6" ht="12.75">
      <c r="C41" s="6" t="s">
        <v>57</v>
      </c>
      <c r="D41" s="18">
        <f>D31</f>
        <v>150</v>
      </c>
      <c r="E41">
        <v>1</v>
      </c>
      <c r="F41" s="1">
        <f>D41*E41</f>
        <v>150</v>
      </c>
    </row>
    <row r="42" spans="3:7" s="8" customFormat="1" ht="12.75">
      <c r="C42" s="9" t="s">
        <v>30</v>
      </c>
      <c r="D42" s="30">
        <f>D33</f>
        <v>545</v>
      </c>
      <c r="E42">
        <v>1</v>
      </c>
      <c r="F42" s="10">
        <f>D42*E42</f>
        <v>545</v>
      </c>
      <c r="G42" s="10" t="s">
        <v>31</v>
      </c>
    </row>
    <row r="43" spans="3:7" s="8" customFormat="1" ht="12.75">
      <c r="C43" s="15" t="s">
        <v>37</v>
      </c>
      <c r="D43" s="20">
        <f>D35</f>
        <v>799</v>
      </c>
      <c r="E43" s="4">
        <f>CEILING(concalls/23,1)</f>
        <v>1</v>
      </c>
      <c r="F43" s="16">
        <f>D43*E43</f>
        <v>799</v>
      </c>
      <c r="G43" s="16" t="s">
        <v>43</v>
      </c>
    </row>
    <row r="44" spans="2:7" s="12" customFormat="1" ht="12.75">
      <c r="B44" s="12" t="s">
        <v>20</v>
      </c>
      <c r="C44" s="13"/>
      <c r="D44" s="21"/>
      <c r="G44" s="14">
        <f>SUM(F29:F43)</f>
        <v>11742</v>
      </c>
    </row>
    <row r="45" spans="3:4" ht="12.75">
      <c r="C45" s="7"/>
      <c r="D45" s="19"/>
    </row>
    <row r="46" spans="2:7" s="2" customFormat="1" ht="12.75">
      <c r="B46" s="2" t="s">
        <v>84</v>
      </c>
      <c r="C46" s="11"/>
      <c r="D46" s="48" t="s">
        <v>3</v>
      </c>
      <c r="E46" s="49" t="s">
        <v>2</v>
      </c>
      <c r="F46" s="48" t="s">
        <v>9</v>
      </c>
      <c r="G46" s="3"/>
    </row>
    <row r="47" spans="3:7" ht="12.75">
      <c r="C47" s="32" t="s">
        <v>113</v>
      </c>
      <c r="D47" s="18">
        <v>174</v>
      </c>
      <c r="E47">
        <f>SoundPoint_IP_330</f>
        <v>30</v>
      </c>
      <c r="F47" s="1">
        <f>E47*D47</f>
        <v>5220</v>
      </c>
      <c r="G47" s="39" t="s">
        <v>40</v>
      </c>
    </row>
    <row r="48" spans="3:7" ht="12.75">
      <c r="C48" s="6" t="s">
        <v>69</v>
      </c>
      <c r="D48" s="18">
        <v>20</v>
      </c>
      <c r="E48">
        <f>SoundPoint_IP_330_Power_Adapter</f>
        <v>0</v>
      </c>
      <c r="F48" s="1">
        <f>E48*D48</f>
        <v>0</v>
      </c>
      <c r="G48" s="1" t="s">
        <v>42</v>
      </c>
    </row>
    <row r="49" spans="3:7" ht="12.75">
      <c r="C49" s="6" t="s">
        <v>14</v>
      </c>
      <c r="D49" s="18">
        <v>237</v>
      </c>
      <c r="E49">
        <f>SoundPoint_IP_430</f>
        <v>0</v>
      </c>
      <c r="F49" s="1">
        <f>E49*D49</f>
        <v>0</v>
      </c>
      <c r="G49" s="40" t="s">
        <v>41</v>
      </c>
    </row>
    <row r="50" spans="3:7" ht="12.75">
      <c r="C50" s="6" t="s">
        <v>61</v>
      </c>
      <c r="D50" s="18">
        <v>289</v>
      </c>
      <c r="E50">
        <f>SoundPoint_IP_450</f>
        <v>0</v>
      </c>
      <c r="G50" s="40"/>
    </row>
    <row r="51" spans="3:6" ht="12.75">
      <c r="C51" s="6" t="s">
        <v>15</v>
      </c>
      <c r="D51" s="18">
        <v>359</v>
      </c>
      <c r="E51">
        <f>SoundPoint_IP_550</f>
        <v>0</v>
      </c>
      <c r="F51" s="1">
        <f>E51*D51</f>
        <v>0</v>
      </c>
    </row>
    <row r="52" spans="3:7" ht="12.75">
      <c r="C52" s="6" t="s">
        <v>16</v>
      </c>
      <c r="D52" s="18">
        <v>449</v>
      </c>
      <c r="E52">
        <f>SoundPoint_IP_650</f>
        <v>0</v>
      </c>
      <c r="F52" s="1">
        <f>E52*D52</f>
        <v>0</v>
      </c>
      <c r="G52" s="40" t="s">
        <v>41</v>
      </c>
    </row>
    <row r="53" spans="3:7" ht="12.75">
      <c r="C53" s="17" t="s">
        <v>65</v>
      </c>
      <c r="D53" s="22">
        <v>249</v>
      </c>
      <c r="E53" s="4">
        <f>SoundPoint_IP_650x_expansion_module</f>
        <v>0</v>
      </c>
      <c r="F53" s="5">
        <f>E53*D53</f>
        <v>0</v>
      </c>
      <c r="G53" s="5"/>
    </row>
    <row r="54" spans="2:7" s="2" customFormat="1" ht="12.75">
      <c r="B54" s="2" t="s">
        <v>21</v>
      </c>
      <c r="D54" s="3"/>
      <c r="G54" s="3">
        <f>SUM(F47:F53)</f>
        <v>5220</v>
      </c>
    </row>
    <row r="56" spans="2:7" s="2" customFormat="1" ht="12.75">
      <c r="B56" s="2" t="s">
        <v>85</v>
      </c>
      <c r="D56" s="3"/>
      <c r="F56" s="3"/>
      <c r="G56" s="3"/>
    </row>
    <row r="57" spans="4:7" s="2" customFormat="1" ht="12.75">
      <c r="D57" s="48" t="s">
        <v>3</v>
      </c>
      <c r="E57" s="49" t="s">
        <v>2</v>
      </c>
      <c r="F57" s="48" t="s">
        <v>9</v>
      </c>
      <c r="G57" s="3"/>
    </row>
    <row r="58" spans="3:6" ht="12.75">
      <c r="C58" t="s">
        <v>17</v>
      </c>
      <c r="D58" s="1">
        <v>460</v>
      </c>
      <c r="E58">
        <v>2</v>
      </c>
      <c r="F58" s="1">
        <f>D58*E58</f>
        <v>920</v>
      </c>
    </row>
    <row r="59" spans="3:6" ht="12.75">
      <c r="C59" t="s">
        <v>18</v>
      </c>
      <c r="D59" s="1">
        <f>8*75</f>
        <v>600</v>
      </c>
      <c r="E59">
        <v>2</v>
      </c>
      <c r="F59" s="1">
        <f>D59*E59</f>
        <v>1200</v>
      </c>
    </row>
    <row r="60" spans="3:7" ht="12.75">
      <c r="C60" s="4" t="s">
        <v>19</v>
      </c>
      <c r="D60" s="5">
        <v>50</v>
      </c>
      <c r="E60" s="4">
        <v>2</v>
      </c>
      <c r="F60" s="5">
        <f>D60*E60</f>
        <v>100</v>
      </c>
      <c r="G60" s="5"/>
    </row>
    <row r="61" spans="2:7" s="2" customFormat="1" ht="12.75">
      <c r="B61" s="2" t="s">
        <v>22</v>
      </c>
      <c r="D61" s="3"/>
      <c r="G61" s="3">
        <f>SUM(F58:F60)</f>
        <v>2220</v>
      </c>
    </row>
    <row r="62" spans="4:7" s="2" customFormat="1" ht="12.75">
      <c r="D62" s="3"/>
      <c r="F62" s="3"/>
      <c r="G62" s="3"/>
    </row>
    <row r="63" spans="2:7" s="2" customFormat="1" ht="12.75">
      <c r="B63" s="2" t="s">
        <v>38</v>
      </c>
      <c r="D63" s="3"/>
      <c r="F63" s="3"/>
      <c r="G63" s="3"/>
    </row>
    <row r="64" spans="4:7" s="2" customFormat="1" ht="12.75">
      <c r="D64" s="48" t="s">
        <v>3</v>
      </c>
      <c r="E64" s="49" t="s">
        <v>2</v>
      </c>
      <c r="F64" s="48" t="s">
        <v>9</v>
      </c>
      <c r="G64" s="3"/>
    </row>
    <row r="65" spans="3:7" s="29" customFormat="1" ht="12.75">
      <c r="C65" t="s">
        <v>29</v>
      </c>
      <c r="D65" s="1">
        <v>1200</v>
      </c>
      <c r="E65" s="29">
        <f>CEILING(lines/24,1)</f>
        <v>2</v>
      </c>
      <c r="F65" s="31">
        <f>D65*E65</f>
        <v>2400</v>
      </c>
      <c r="G65" s="1" t="s">
        <v>86</v>
      </c>
    </row>
    <row r="66" spans="3:7" s="29" customFormat="1" ht="12.75">
      <c r="C66" s="42" t="s">
        <v>27</v>
      </c>
      <c r="D66" s="5">
        <v>150</v>
      </c>
      <c r="E66" s="42">
        <f>CEILING(lines/24,1)</f>
        <v>2</v>
      </c>
      <c r="F66" s="43">
        <f>D66*E66</f>
        <v>300</v>
      </c>
      <c r="G66" s="5" t="s">
        <v>86</v>
      </c>
    </row>
    <row r="67" spans="2:7" s="2" customFormat="1" ht="12.75">
      <c r="B67" s="2" t="s">
        <v>28</v>
      </c>
      <c r="D67" s="3"/>
      <c r="F67" s="3"/>
      <c r="G67" s="3">
        <f>SUM(F65:F66)</f>
        <v>2700</v>
      </c>
    </row>
    <row r="68" spans="4:7" s="2" customFormat="1" ht="13.5" thickBot="1">
      <c r="D68" s="3"/>
      <c r="F68" s="3"/>
      <c r="G68" s="44"/>
    </row>
    <row r="69" spans="1:7" s="24" customFormat="1" ht="15.75" thickTop="1">
      <c r="A69" s="24" t="s">
        <v>70</v>
      </c>
      <c r="D69" s="28"/>
      <c r="F69" s="28"/>
      <c r="G69" s="28">
        <f>SUM(G26:G67)</f>
        <v>21882</v>
      </c>
    </row>
    <row r="71" ht="15">
      <c r="A71" s="64" t="s">
        <v>114</v>
      </c>
    </row>
    <row r="72" ht="12.75">
      <c r="A72" s="2"/>
    </row>
    <row r="73" spans="2:7" s="2" customFormat="1" ht="12.75">
      <c r="B73" s="2" t="s">
        <v>51</v>
      </c>
      <c r="D73" s="3"/>
      <c r="F73" s="3"/>
      <c r="G73" s="3"/>
    </row>
    <row r="74" spans="3:7" s="2" customFormat="1" ht="12.75">
      <c r="C74" s="2" t="s">
        <v>1</v>
      </c>
      <c r="D74" s="48" t="s">
        <v>3</v>
      </c>
      <c r="E74" s="49" t="s">
        <v>2</v>
      </c>
      <c r="F74" s="48" t="s">
        <v>6</v>
      </c>
      <c r="G74" s="48" t="s">
        <v>7</v>
      </c>
    </row>
    <row r="75" spans="3:7" ht="12.75">
      <c r="C75" t="s">
        <v>0</v>
      </c>
      <c r="D75" s="1">
        <v>11</v>
      </c>
      <c r="E75">
        <f>lines</f>
        <v>30</v>
      </c>
      <c r="F75" s="1">
        <f>E75*D75</f>
        <v>330</v>
      </c>
      <c r="G75" s="1">
        <f>F75*12</f>
        <v>3960</v>
      </c>
    </row>
    <row r="76" spans="3:7" ht="12.75">
      <c r="C76" t="s">
        <v>8</v>
      </c>
      <c r="D76" s="1">
        <v>6.5</v>
      </c>
      <c r="E76">
        <f>lines</f>
        <v>30</v>
      </c>
      <c r="F76" s="1">
        <f>E76*D76</f>
        <v>195</v>
      </c>
      <c r="G76" s="1">
        <f>F76*12</f>
        <v>2340</v>
      </c>
    </row>
    <row r="77" spans="3:7" ht="12.75">
      <c r="C77" t="s">
        <v>5</v>
      </c>
      <c r="D77" s="1">
        <v>0</v>
      </c>
      <c r="E77">
        <f>fpkg</f>
        <v>15</v>
      </c>
      <c r="F77" s="1">
        <f>E77*D77</f>
        <v>0</v>
      </c>
      <c r="G77" s="1">
        <f>F77*12</f>
        <v>0</v>
      </c>
    </row>
    <row r="78" spans="3:7" ht="12.75">
      <c r="C78" s="4" t="s">
        <v>4</v>
      </c>
      <c r="D78" s="5">
        <v>3.75</v>
      </c>
      <c r="E78" s="4">
        <f>voicemail</f>
        <v>0</v>
      </c>
      <c r="F78" s="5">
        <f>E78*D78</f>
        <v>0</v>
      </c>
      <c r="G78" s="5">
        <f>F78*12</f>
        <v>0</v>
      </c>
    </row>
    <row r="79" spans="3:7" s="2" customFormat="1" ht="12.75">
      <c r="C79" s="2" t="s">
        <v>35</v>
      </c>
      <c r="D79" s="3"/>
      <c r="F79" s="3">
        <f>SUM(F75:F78)</f>
        <v>525</v>
      </c>
      <c r="G79" s="3">
        <f>SUM(G75:G78)</f>
        <v>6300</v>
      </c>
    </row>
    <row r="81" spans="2:7" s="2" customFormat="1" ht="12.75">
      <c r="B81" s="2" t="s">
        <v>71</v>
      </c>
      <c r="D81" s="48" t="s">
        <v>3</v>
      </c>
      <c r="E81" s="49" t="s">
        <v>2</v>
      </c>
      <c r="F81" s="48" t="s">
        <v>6</v>
      </c>
      <c r="G81" s="48" t="s">
        <v>7</v>
      </c>
    </row>
    <row r="82" spans="3:8" ht="12.75">
      <c r="C82" s="65" t="s">
        <v>116</v>
      </c>
      <c r="D82" s="1">
        <v>20.25</v>
      </c>
      <c r="E82">
        <v>1</v>
      </c>
      <c r="F82" s="1">
        <f>E82*D82</f>
        <v>20.25</v>
      </c>
      <c r="G82" s="1">
        <f>F82*12</f>
        <v>243</v>
      </c>
      <c r="H82" s="65" t="s">
        <v>117</v>
      </c>
    </row>
    <row r="83" spans="3:8" ht="12.75">
      <c r="C83" t="s">
        <v>47</v>
      </c>
      <c r="D83" s="1">
        <v>0</v>
      </c>
      <c r="E83">
        <f>concalls</f>
        <v>5</v>
      </c>
      <c r="F83" s="1">
        <f>E83*D83</f>
        <v>0</v>
      </c>
      <c r="G83" s="1">
        <f>F83*12</f>
        <v>0</v>
      </c>
      <c r="H83" t="s">
        <v>115</v>
      </c>
    </row>
    <row r="84" spans="3:8" ht="12.75">
      <c r="C84" s="33" t="s">
        <v>44</v>
      </c>
      <c r="D84" s="34">
        <v>8</v>
      </c>
      <c r="E84" s="33">
        <f>lines</f>
        <v>30</v>
      </c>
      <c r="F84" s="34">
        <f>E84*D84</f>
        <v>240</v>
      </c>
      <c r="G84" s="34">
        <f>F84*12</f>
        <v>2880</v>
      </c>
      <c r="H84" t="s">
        <v>72</v>
      </c>
    </row>
    <row r="85" spans="3:7" ht="12.75">
      <c r="C85" t="s">
        <v>8</v>
      </c>
      <c r="D85" s="1">
        <v>6.5</v>
      </c>
      <c r="E85">
        <f>lines</f>
        <v>30</v>
      </c>
      <c r="F85" s="1">
        <f>E85*D85</f>
        <v>195</v>
      </c>
      <c r="G85" s="1">
        <f>F85*12</f>
        <v>2340</v>
      </c>
    </row>
    <row r="86" spans="3:8" ht="12.75">
      <c r="C86" t="s">
        <v>33</v>
      </c>
      <c r="D86" s="1">
        <v>11</v>
      </c>
      <c r="E86">
        <v>2</v>
      </c>
      <c r="F86" s="1">
        <f>E86*D86</f>
        <v>22</v>
      </c>
      <c r="G86" s="1">
        <f>F86*12</f>
        <v>264</v>
      </c>
      <c r="H86" s="50" t="s">
        <v>31</v>
      </c>
    </row>
    <row r="87" spans="3:8" ht="12.75">
      <c r="C87" s="4" t="s">
        <v>34</v>
      </c>
      <c r="D87" s="5">
        <v>6.5</v>
      </c>
      <c r="E87" s="4">
        <v>2</v>
      </c>
      <c r="F87" s="5">
        <f>E87*D87</f>
        <v>13</v>
      </c>
      <c r="G87" s="5">
        <f>F87*12</f>
        <v>156</v>
      </c>
      <c r="H87" t="s">
        <v>87</v>
      </c>
    </row>
    <row r="88" spans="3:7" s="2" customFormat="1" ht="12.75">
      <c r="C88" s="2" t="s">
        <v>36</v>
      </c>
      <c r="D88" s="3"/>
      <c r="F88" s="3">
        <f>SUM(F82:F87)</f>
        <v>490.25</v>
      </c>
      <c r="G88" s="3">
        <f>SUM(G82:G87)</f>
        <v>5883</v>
      </c>
    </row>
    <row r="90" spans="1:7" s="2" customFormat="1" ht="12.75">
      <c r="A90" s="66" t="s">
        <v>118</v>
      </c>
      <c r="D90" s="3"/>
      <c r="F90" s="3">
        <f>F79-F88</f>
        <v>34.75</v>
      </c>
      <c r="G90" s="3">
        <f>G79-G88</f>
        <v>417</v>
      </c>
    </row>
    <row r="91" spans="4:7" s="2" customFormat="1" ht="12.75">
      <c r="D91" s="3"/>
      <c r="F91" s="3"/>
      <c r="G91" s="3"/>
    </row>
    <row r="92" spans="1:7" s="2" customFormat="1" ht="12.75">
      <c r="A92" s="2" t="s">
        <v>73</v>
      </c>
      <c r="C92" s="23"/>
      <c r="D92" s="3"/>
      <c r="F92" s="3"/>
      <c r="G92" s="3"/>
    </row>
    <row r="93" spans="3:7" s="2" customFormat="1" ht="12.75">
      <c r="C93" s="23"/>
      <c r="D93" s="48" t="s">
        <v>3</v>
      </c>
      <c r="E93" s="49" t="s">
        <v>2</v>
      </c>
      <c r="F93" s="3"/>
      <c r="G93" s="48" t="s">
        <v>7</v>
      </c>
    </row>
    <row r="94" spans="3:8" s="29" customFormat="1" ht="12.75">
      <c r="C94" s="29" t="s">
        <v>32</v>
      </c>
      <c r="D94" s="1">
        <v>11</v>
      </c>
      <c r="E94" s="29">
        <f>lines</f>
        <v>30</v>
      </c>
      <c r="F94" s="1"/>
      <c r="G94" s="1">
        <f>D94*E94</f>
        <v>330</v>
      </c>
      <c r="H94" s="29" t="s">
        <v>88</v>
      </c>
    </row>
    <row r="95" spans="3:7" ht="12.75">
      <c r="C95" s="4" t="s">
        <v>23</v>
      </c>
      <c r="D95" s="5">
        <v>550</v>
      </c>
      <c r="E95" s="4">
        <v>2</v>
      </c>
      <c r="F95" s="5"/>
      <c r="G95" s="5">
        <f>D95*E95</f>
        <v>1100</v>
      </c>
    </row>
    <row r="96" spans="1:7" s="2" customFormat="1" ht="12.75">
      <c r="A96" s="2" t="s">
        <v>25</v>
      </c>
      <c r="D96" s="3"/>
      <c r="G96" s="3">
        <f>SUM(G94:G95)</f>
        <v>1430</v>
      </c>
    </row>
    <row r="97" spans="4:7" s="2" customFormat="1" ht="12.75">
      <c r="D97" s="3"/>
      <c r="G97" s="3"/>
    </row>
    <row r="98" spans="1:7" s="24" customFormat="1" ht="15">
      <c r="A98" s="24" t="s">
        <v>74</v>
      </c>
      <c r="D98" s="28"/>
      <c r="G98" s="28">
        <f>G90-G96</f>
        <v>-1013</v>
      </c>
    </row>
    <row r="99" spans="4:7" s="24" customFormat="1" ht="15">
      <c r="D99" s="28"/>
      <c r="G99" s="28"/>
    </row>
    <row r="100" spans="4:7" s="26" customFormat="1" ht="14.25">
      <c r="D100" s="27"/>
      <c r="F100" s="27"/>
      <c r="G100" s="27"/>
    </row>
    <row r="101" spans="1:7" s="24" customFormat="1" ht="15">
      <c r="A101" s="24" t="s">
        <v>89</v>
      </c>
      <c r="D101" s="28"/>
      <c r="F101" s="28"/>
      <c r="G101" s="28"/>
    </row>
    <row r="102" spans="2:7" s="29" customFormat="1" ht="12.75">
      <c r="B102" s="29" t="s">
        <v>26</v>
      </c>
      <c r="D102" s="1"/>
      <c r="F102" s="1">
        <f>G69</f>
        <v>21882</v>
      </c>
      <c r="G102" s="1"/>
    </row>
    <row r="103" ht="12.75">
      <c r="B103" t="s">
        <v>75</v>
      </c>
    </row>
    <row r="104" spans="3:6" ht="12.75">
      <c r="C104" t="s">
        <v>45</v>
      </c>
      <c r="F104" s="1">
        <f>$G$90</f>
        <v>417</v>
      </c>
    </row>
    <row r="105" spans="3:6" ht="12.75">
      <c r="C105" t="s">
        <v>46</v>
      </c>
      <c r="F105" s="1">
        <f>$G$98</f>
        <v>-1013</v>
      </c>
    </row>
    <row r="106" spans="2:7" s="2" customFormat="1" ht="12.75">
      <c r="B106" s="2" t="s">
        <v>54</v>
      </c>
      <c r="D106" s="3"/>
      <c r="F106" s="45">
        <f>(F102-F104)/F105+1</f>
        <v>-20.189536031589338</v>
      </c>
      <c r="G106" s="1" t="s">
        <v>76</v>
      </c>
    </row>
  </sheetData>
  <sheetProtection sheet="1" selectLockedCells="1"/>
  <dataValidations count="3">
    <dataValidation type="whole" allowBlank="1" showInputMessage="1" showErrorMessage="1" error="The minimum number of concurrent calls supported by this estimator is 12 because the VoIP system uses a T1 circuit to the campus telephone switch.  The maximum number of concurrent calls supported by this estimator is 45." sqref="D12">
      <formula1>12</formula1>
      <formula2>45</formula2>
    </dataValidation>
    <dataValidation type="whole" allowBlank="1" showInputMessage="1" showErrorMessage="1" error="This estimator supports a maximum of 150 telephone lines." sqref="D6">
      <formula1>1</formula1>
      <formula2>150</formula2>
    </dataValidation>
    <dataValidation type="whole" allowBlank="1" showInputMessage="1" showErrorMessage="1" error="The minimum number of concurrent calls supported by this estimator is 1.  The maximum number of concurrent calls supported by this estimator is 45." sqref="D11">
      <formula1>1</formula1>
      <formula2>45</formula2>
    </dataValidation>
  </dataValidations>
  <hyperlinks>
    <hyperlink ref="F13" r:id="rId1" display="http://www.switchvox.com/catalog/index.php?cPath=2"/>
  </hyperlinks>
  <printOptions/>
  <pageMargins left="0.6" right="0.6" top="0.75" bottom="0.75" header="0.3" footer="0.3"/>
  <pageSetup horizontalDpi="600" verticalDpi="600" orientation="landscape" r:id="rId2"/>
  <headerFooter alignWithMargins="0">
    <oddFooter>&amp;L&amp;Z&amp;F&amp;R&amp;P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A. Miller</dc:creator>
  <cp:keywords/>
  <dc:description/>
  <cp:lastModifiedBy>Vince Sefcik</cp:lastModifiedBy>
  <cp:lastPrinted>2010-08-03T20:51:24Z</cp:lastPrinted>
  <dcterms:created xsi:type="dcterms:W3CDTF">2009-04-14T00:43:38Z</dcterms:created>
  <dcterms:modified xsi:type="dcterms:W3CDTF">2010-08-03T21:04:12Z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